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Ssupport\WORKSTUDY\2022-23\"/>
    </mc:Choice>
  </mc:AlternateContent>
  <bookViews>
    <workbookView xWindow="0" yWindow="0" windowWidth="17160" windowHeight="13440"/>
  </bookViews>
  <sheets>
    <sheet name="GSR Cost Calculator" sheetId="3" r:id="rId1"/>
    <sheet name="Data Lists" sheetId="4" state="hidden" r:id="rId2"/>
    <sheet name="Data Lists2" sheetId="5" state="hidden" r:id="rId3"/>
    <sheet name="Instructions &amp; Notes" sheetId="6" r:id="rId4"/>
    <sheet name="Sheet1" sheetId="7" r:id="rId5"/>
  </sheets>
  <definedNames>
    <definedName name="buy_down">'Data Lists'!$D$3:$D$4</definedName>
    <definedName name="GSR_Step">'Data Lists'!$A$8:$A$17</definedName>
    <definedName name="_xlnm.Print_Titles" localSheetId="3">'Instructions &amp; Notes'!$1:$1</definedName>
    <definedName name="Res_Status" localSheetId="1">'Data Lists'!$A$3:$A$4</definedName>
    <definedName name="Res_Status">'Data Lists'!$A$3:$A$4</definedName>
    <definedName name="Units">'Data Lists'!$E$2:$E$4</definedName>
    <definedName name="WS_units">'Data Lists'!$E$3:$E$4</definedName>
    <definedName name="yes_no">'Data Lists'!$D$3:$D$4</definedName>
  </definedNames>
  <calcPr calcId="162913"/>
</workbook>
</file>

<file path=xl/calcChain.xml><?xml version="1.0" encoding="utf-8"?>
<calcChain xmlns="http://schemas.openxmlformats.org/spreadsheetml/2006/main">
  <c r="B10" i="5" l="1"/>
  <c r="B9" i="5"/>
  <c r="B8" i="5"/>
  <c r="H4" i="5" l="1"/>
  <c r="F3" i="5"/>
  <c r="G4" i="5"/>
  <c r="F4" i="5" s="1"/>
  <c r="M2" i="5" l="1"/>
  <c r="L2" i="5"/>
  <c r="A12" i="3" l="1"/>
  <c r="A13" i="3" l="1"/>
  <c r="A24" i="3" l="1"/>
  <c r="A30" i="3" s="1"/>
  <c r="A11" i="3" l="1"/>
  <c r="F17" i="5"/>
  <c r="C17" i="5"/>
  <c r="D17" i="5" s="1"/>
  <c r="E17" i="5" s="1"/>
  <c r="F16" i="5"/>
  <c r="C16" i="5"/>
  <c r="D16" i="5" s="1"/>
  <c r="E16" i="5" s="1"/>
  <c r="F15" i="5"/>
  <c r="C15" i="5"/>
  <c r="D15" i="5" s="1"/>
  <c r="E15" i="5" s="1"/>
  <c r="F14" i="5"/>
  <c r="C14" i="5"/>
  <c r="D14" i="5" s="1"/>
  <c r="E14" i="5" s="1"/>
  <c r="F13" i="5"/>
  <c r="C13" i="5"/>
  <c r="D13" i="5" s="1"/>
  <c r="E13" i="5" s="1"/>
  <c r="F12" i="5"/>
  <c r="C12" i="5"/>
  <c r="D12" i="5" s="1"/>
  <c r="E12" i="5" s="1"/>
  <c r="F11" i="5"/>
  <c r="C11" i="5"/>
  <c r="D11" i="5" s="1"/>
  <c r="E11" i="5" s="1"/>
  <c r="F10" i="5"/>
  <c r="C10" i="5"/>
  <c r="D10" i="5" s="1"/>
  <c r="F9" i="5"/>
  <c r="C9" i="5"/>
  <c r="D9" i="5" s="1"/>
  <c r="E9" i="5" s="1"/>
  <c r="F8" i="5"/>
  <c r="C8" i="5"/>
  <c r="D8" i="5" s="1"/>
  <c r="A24" i="5" l="1"/>
  <c r="A21" i="5"/>
  <c r="E10" i="5"/>
  <c r="E8" i="5"/>
  <c r="F17" i="4"/>
  <c r="F16" i="4"/>
  <c r="F15" i="4"/>
  <c r="F14" i="4"/>
  <c r="F13" i="4"/>
  <c r="F12" i="4"/>
  <c r="F11" i="4"/>
  <c r="F10" i="4"/>
  <c r="F9" i="4"/>
  <c r="F8" i="4"/>
  <c r="D9" i="4"/>
  <c r="E9" i="4" s="1"/>
  <c r="C17" i="4"/>
  <c r="D17" i="4" s="1"/>
  <c r="E17" i="4" s="1"/>
  <c r="C16" i="4"/>
  <c r="D16" i="4" s="1"/>
  <c r="E16" i="4" s="1"/>
  <c r="C15" i="4"/>
  <c r="D15" i="4" s="1"/>
  <c r="E15" i="4" s="1"/>
  <c r="C14" i="4"/>
  <c r="D14" i="4" s="1"/>
  <c r="E14" i="4" s="1"/>
  <c r="C13" i="4"/>
  <c r="D13" i="4" s="1"/>
  <c r="E13" i="4" s="1"/>
  <c r="C12" i="4"/>
  <c r="D12" i="4" s="1"/>
  <c r="E12" i="4" s="1"/>
  <c r="C11" i="4"/>
  <c r="D11" i="4" s="1"/>
  <c r="E11" i="4" s="1"/>
  <c r="C10" i="4"/>
  <c r="D10" i="4" s="1"/>
  <c r="E10" i="4" s="1"/>
  <c r="C9" i="4"/>
  <c r="C8" i="4"/>
  <c r="D8" i="4" s="1"/>
  <c r="F3" i="4" s="1"/>
  <c r="H10" i="5" l="1"/>
  <c r="H12" i="5" s="1"/>
  <c r="H14" i="5" s="1"/>
  <c r="A17" i="3"/>
  <c r="A35" i="3"/>
  <c r="F4" i="4"/>
  <c r="E8" i="4"/>
  <c r="A14" i="3"/>
  <c r="C17" i="3" l="1"/>
  <c r="A18" i="3" s="1"/>
  <c r="A22" i="3"/>
  <c r="A33" i="3" s="1"/>
  <c r="C18" i="3" l="1"/>
  <c r="A23" i="3"/>
  <c r="A25" i="3" s="1"/>
  <c r="A19" i="3"/>
  <c r="A29" i="3" l="1"/>
  <c r="A31" i="3" s="1"/>
  <c r="A36" i="3" s="1"/>
  <c r="A34" i="3" l="1"/>
</calcChain>
</file>

<file path=xl/comments1.xml><?xml version="1.0" encoding="utf-8"?>
<comments xmlns="http://schemas.openxmlformats.org/spreadsheetml/2006/main">
  <authors>
    <author>Rossbach, Uwe</author>
    <author>sjalbrec</author>
  </authors>
  <commentList>
    <comment ref="A1" authorId="0" shapeId="0">
      <text>
        <r>
          <rPr>
            <b/>
            <sz val="8"/>
            <color indexed="81"/>
            <rFont val="Tahoma"/>
            <family val="2"/>
          </rPr>
          <t>Estimates the Direct Cost of a GSR appointment for one quarter - spring of 2022-23 based on the most current GSR salary scales.  Does not include Indirect Costs.</t>
        </r>
      </text>
    </comment>
    <comment ref="B6" authorId="1" shapeId="0">
      <text>
        <r>
          <rPr>
            <b/>
            <sz val="9"/>
            <color indexed="81"/>
            <rFont val="Tahoma"/>
            <family val="2"/>
          </rPr>
          <t xml:space="preserve">This worksheet cannot accurately calculate the fee remission for split appointments (except Work Study).  </t>
        </r>
      </text>
    </comment>
    <comment ref="B8" authorId="1" shapeId="0">
      <text>
        <r>
          <rPr>
            <sz val="9"/>
            <color indexed="81"/>
            <rFont val="Tahoma"/>
            <family val="2"/>
          </rPr>
          <t>To fully utilze the cost savings of two units of work study for a single student in a single quarter, the salary level should be at least $6,900 per quarter.</t>
        </r>
      </text>
    </comment>
    <comment ref="B12" authorId="1" shapeId="0">
      <text>
        <r>
          <rPr>
            <b/>
            <sz val="9"/>
            <color indexed="81"/>
            <rFont val="Tahoma"/>
            <family val="2"/>
          </rPr>
          <t>Tuition &amp; Fee remission is a benefit of employment for GSR appointments of 25% or higher for a full academic quarter.</t>
        </r>
      </text>
    </comment>
    <comment ref="B13" authorId="0" shapeId="0">
      <text>
        <r>
          <rPr>
            <b/>
            <sz val="8"/>
            <color indexed="81"/>
            <rFont val="Tahoma"/>
            <family val="2"/>
          </rPr>
          <t>Non-resident supplemental tuition remission (NRSTR) is a benefit of employment for GSR appointments of 25% or higher for a full academic quarter.</t>
        </r>
      </text>
    </comment>
    <comment ref="C17" authorId="1" shapeId="0">
      <text>
        <r>
          <rPr>
            <b/>
            <sz val="9"/>
            <color indexed="81"/>
            <rFont val="Tahoma"/>
            <family val="2"/>
          </rPr>
          <t>This cell calcuates the percentage of salary cost that will be covered by federal work study funds.  
The 2022-23 work study salary savings is 75% if the total salary is $3,450 or less for one unit of work study or $6,900 or less for two units of work study.  When the salary total exceeds these two amounts, the work study savings is capped at $2,587.50 for one unit and $5,175 for two units.  The salary fund source will be charged for all salary above these caps and, therefore, the salary savings will be less than 75%.
Percentage must equal benefit cost percentage.</t>
        </r>
      </text>
    </comment>
    <comment ref="C18" authorId="1" shapeId="0">
      <text>
        <r>
          <rPr>
            <b/>
            <sz val="9"/>
            <color indexed="81"/>
            <rFont val="Tahoma"/>
            <family val="2"/>
          </rPr>
          <t>Percentage of Tuition &amp; Fee remission costs covered by central campus funds.  Must equal salary percentage.</t>
        </r>
      </text>
    </comment>
    <comment ref="C28" authorId="1" shapeId="0">
      <text>
        <r>
          <rPr>
            <b/>
            <sz val="9"/>
            <color indexed="81"/>
            <rFont val="Tahoma"/>
            <family val="2"/>
          </rPr>
          <t>Nonresident Alien students are not eligible for Work Study, however, by leaving the "# of Work Study Units" cell (A7) blank, this worksheet can be used to calculate GSR costs for any graduate student.  If the student is a 2nd or 3rd year Nonresident Alien PhD student being hired on qualifying funds, the NRST buy-down for that population has increased from 25% to 100%.</t>
        </r>
      </text>
    </comment>
    <comment ref="B36" authorId="1" shapeId="0">
      <text>
        <r>
          <rPr>
            <b/>
            <sz val="9"/>
            <color indexed="81"/>
            <rFont val="Tahoma"/>
            <family val="2"/>
          </rPr>
          <t>Direct Costs Only</t>
        </r>
      </text>
    </comment>
  </commentList>
</comments>
</file>

<file path=xl/sharedStrings.xml><?xml version="1.0" encoding="utf-8"?>
<sst xmlns="http://schemas.openxmlformats.org/spreadsheetml/2006/main" count="119" uniqueCount="96">
  <si>
    <t>CA Residency Status</t>
  </si>
  <si>
    <t>CA Resident</t>
  </si>
  <si>
    <t>non-CA Resident</t>
  </si>
  <si>
    <t>Step I</t>
  </si>
  <si>
    <t>Step II</t>
  </si>
  <si>
    <t>Step III</t>
  </si>
  <si>
    <t>Step VI</t>
  </si>
  <si>
    <t>Step V</t>
  </si>
  <si>
    <t>Step VII</t>
  </si>
  <si>
    <t>Step VIII</t>
  </si>
  <si>
    <t>Step IV</t>
  </si>
  <si>
    <t>Step IX</t>
  </si>
  <si>
    <t>Step X</t>
  </si>
  <si>
    <t>Monthly Salary (100%)</t>
  </si>
  <si>
    <t>Eligible for Buy Down?</t>
  </si>
  <si>
    <t>Yes</t>
  </si>
  <si>
    <t>No</t>
  </si>
  <si>
    <t>WS units</t>
  </si>
  <si>
    <t>Amt of salary covered by WS</t>
  </si>
  <si>
    <t>Montly Salary (25%)</t>
  </si>
  <si>
    <t>Quarterly Salary (25%)</t>
  </si>
  <si>
    <t>Quarterly Salary (50%)</t>
  </si>
  <si>
    <t>Quarterly Salary (100%)</t>
  </si>
  <si>
    <t>Salary</t>
  </si>
  <si>
    <t>Total</t>
  </si>
  <si>
    <t>Buy-down?</t>
  </si>
  <si>
    <t>GSR Variables</t>
  </si>
  <si>
    <t>GSR Salary Step 2009-10 rates</t>
  </si>
  <si>
    <t>2010-11 Tuition Amount</t>
  </si>
  <si>
    <t>Expense Subtotal</t>
  </si>
  <si>
    <t>Total Buy-down Savings</t>
  </si>
  <si>
    <t>Total Salary Exp</t>
  </si>
  <si>
    <t>State Funds?</t>
  </si>
  <si>
    <t>Residency Status?</t>
  </si>
  <si>
    <t>GSR Salary Step?</t>
  </si>
  <si>
    <t>FTE %?</t>
  </si>
  <si>
    <t>Actual 10-11 Fees</t>
  </si>
  <si>
    <t>Salary Subtotal</t>
  </si>
  <si>
    <t># of Work Study Units?</t>
  </si>
  <si>
    <t>FTE%</t>
  </si>
  <si>
    <t>Will the student participate in the Work Study Program?  If so, will one or two units be assigned during the quarter?</t>
  </si>
  <si>
    <t>Buy Down?</t>
  </si>
  <si>
    <r>
      <t xml:space="preserve">GSR Expense to Grant  </t>
    </r>
    <r>
      <rPr>
        <sz val="11"/>
        <color theme="1"/>
        <rFont val="Calibri"/>
        <family val="2"/>
        <scheme val="minor"/>
      </rPr>
      <t>(1 quarter)</t>
    </r>
  </si>
  <si>
    <t xml:space="preserve">Work Study Savings            </t>
  </si>
  <si>
    <t xml:space="preserve">Total GSR Cost               </t>
  </si>
  <si>
    <r>
      <t xml:space="preserve">Total Expense to Grant </t>
    </r>
    <r>
      <rPr>
        <sz val="11"/>
        <color theme="1"/>
        <rFont val="Calibri"/>
        <family val="2"/>
        <scheme val="minor"/>
      </rPr>
      <t>(1 qtr)</t>
    </r>
  </si>
  <si>
    <t>In order to calculate the cost of a student's GSR appointment, you must fill in the variables in the  shaded (yellow) cells.  To clear a variable data item, simply delete the contents of the cell.</t>
  </si>
  <si>
    <t>Per policy, the FTE for a GSR appointment should be at least 25% for the entire quarter (three months).</t>
  </si>
  <si>
    <t>Important Qualifiers:</t>
  </si>
  <si>
    <t>This worksheet is intended only to be an aid in estimating the cost of a GSR appointment.  The Office of Graduate Studies cannot be held responsible for any discrepancies between the estimates from this worksheet and actual academic appointment costs.</t>
  </si>
  <si>
    <t>Academic Graduate Students must be employed per their Graduate Program's official Compensation Plan.  For more information about a specific Compensation Plan please contact Tracey Pereida at tgpereida@ucdavis.edu.</t>
  </si>
  <si>
    <t>FTE must be at least 25% for the Work Study Program.</t>
  </si>
  <si>
    <t>Percentage employment is generarlly between 25% and 75%.</t>
  </si>
  <si>
    <t>WS Savings - 2 units</t>
  </si>
  <si>
    <t>WS Savings - 1 unit</t>
  </si>
  <si>
    <t>Tuition &amp; Fee Remission</t>
  </si>
  <si>
    <t>NRST Remission</t>
  </si>
  <si>
    <t>Tuition &amp; Fee Remission Subtotal</t>
  </si>
  <si>
    <t>NRST Remission Subtotal</t>
  </si>
  <si>
    <t>Buy-down NRSTR rebate</t>
  </si>
  <si>
    <t>Buy-down Tuition remission rebate</t>
  </si>
  <si>
    <t>Total Tuition &amp; Fee Remission Exp</t>
  </si>
  <si>
    <t>Total NRSTR Expense</t>
  </si>
  <si>
    <t>This worksheet does not include Indirect Costs.  It only calculates the Direct Costs of GSR salary, academic graduate student Tuition &amp; Fee remission, and academic graduate student Nonresident Supplemental Tuition remission.</t>
  </si>
  <si>
    <t>Beginning with the 2014-15 academic year, Tuition &amp; Fee remission for GSRs hired on state funds (19900) will no longer be reimbursed by the campus central benefits pool.</t>
  </si>
  <si>
    <t>New for 2014-15, if the GSR is an International Student (Nonresident Alien on a J-1 or F-1 Visa), is in their 2nd or 3rd year of attendance, has not advanced to candidacy, and the salary fund source is eligible for the buy-down program, the buy-down program will refund 100% of the NRST Remission to the salary fund source.</t>
  </si>
  <si>
    <t>2nd or 3rd Year Int'l PhD Student?</t>
  </si>
  <si>
    <t>If the student has any form of a split appointment, either a TA appointment or an additional GSR appointment on another fund source, the remission calculation of this worksheet will be incorrect!  When a GSR appointment is split between multiple fund sources, the apportionment of benefits costs must be allocated according to the FTE allocated to each fund source, as reflected by the percentage appointment.</t>
  </si>
  <si>
    <t>Quarter</t>
  </si>
  <si>
    <t>Cost Sharing Explanation</t>
  </si>
  <si>
    <t>Full Tuition &amp; Fee schedules may be found here: https://financeandbusiness.ucdavis.edu/student-resources/tuition-fees</t>
  </si>
  <si>
    <t>UCD Appendix II-B, Appointment of Graduate Students and Postgraduate Researchers to Academic Positions: https://aadocs.ucdavis.edu/policies/apm/ucd-app-ii/appendix-ii-b.pdf</t>
  </si>
  <si>
    <t>For a detailed explanation of how the costs are shared, please see https://grad.ucdavis.edu/work-study-graduate-students</t>
  </si>
  <si>
    <t>Graduate Work Study guidelines may be found here: https://grad.ucdavis.edu/work-study-graduate-students</t>
  </si>
  <si>
    <t>Is the GSR salary fund source eligible for the GSR Buy-Down Program?  More information may be found here:
https://grad.ucdavis.edu/non-resident-supplemental-tuition-programs</t>
  </si>
  <si>
    <t>Fall 2022-23</t>
  </si>
  <si>
    <t>Winter 2022-23</t>
  </si>
  <si>
    <t>Spring 2022-23</t>
  </si>
  <si>
    <t>UC Davis Graduate Student Researcher (GSR) Direct Cost Calculator - 2022-23</t>
  </si>
  <si>
    <t>If the student is not a resident of California for tuition purposes, then they will be subject to Nonresident Supplemental Tuition (NRST).  $5,034 per quarter in 2022-23.</t>
  </si>
  <si>
    <t>Information about CA Residency for Tuition Purposes may be found here: https://registrar.ucdavis.edu/tuition/residence</t>
  </si>
  <si>
    <t>In order to fully utilize the cost savings of two units of work study, the salary for the quarter should be at least $6,900.</t>
  </si>
  <si>
    <t>Step 2</t>
  </si>
  <si>
    <t>Step 1</t>
  </si>
  <si>
    <t>Step 3</t>
  </si>
  <si>
    <t>Step 4</t>
  </si>
  <si>
    <t>Step 5</t>
  </si>
  <si>
    <t>Step 6</t>
  </si>
  <si>
    <t>22-23 Fees</t>
  </si>
  <si>
    <t>2022-23 Tuition Amount</t>
  </si>
  <si>
    <t>GSR Salary Step spring 2022-23 rates</t>
  </si>
  <si>
    <t>GSR Salary Step? (spring 22-23 rates)</t>
  </si>
  <si>
    <t>Spring 2022-23 Salary rates and 2022-23 Tuition &amp; Fee amounts</t>
  </si>
  <si>
    <t>UC Davis GSR Direct Cost Calculator - Spring Quarter 2022-23</t>
  </si>
  <si>
    <t>This worksheet can only be used to calculate the direct costs of a GSR hired on a single fund source for spring quarter of 2022-23 and not the summer (July 1st through Sept 30th).</t>
  </si>
  <si>
    <t>There are six salary levels.  More info here: https://grad.ucdavis.edu/understanding-your-student-salary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</si>
</sst>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10" x14ac:knownFonts="1">
    <font>
      <sz val="11"/>
      <color theme="1"/>
      <name val="Calibri"/>
      <family val="2"/>
      <scheme val="minor"/>
    </font>
    <font>
      <b/>
      <sz val="11"/>
      <color theme="1"/>
      <name val="Calibri"/>
      <family val="2"/>
      <scheme val="minor"/>
    </font>
    <font>
      <sz val="11"/>
      <color rgb="FFFF0000"/>
      <name val="Calibri"/>
      <family val="2"/>
      <scheme val="minor"/>
    </font>
    <font>
      <b/>
      <sz val="8"/>
      <color indexed="81"/>
      <name val="Tahoma"/>
      <family val="2"/>
    </font>
    <font>
      <sz val="11"/>
      <color theme="1"/>
      <name val="Calibri"/>
      <family val="2"/>
      <scheme val="minor"/>
    </font>
    <font>
      <sz val="9"/>
      <color indexed="81"/>
      <name val="Tahoma"/>
      <family val="2"/>
    </font>
    <font>
      <b/>
      <sz val="9"/>
      <color indexed="81"/>
      <name val="Tahoma"/>
      <family val="2"/>
    </font>
    <font>
      <sz val="10"/>
      <color theme="1"/>
      <name val="Verdana"/>
      <family val="2"/>
    </font>
    <font>
      <b/>
      <sz val="11"/>
      <color rgb="FFFF0000"/>
      <name val="Calibri"/>
      <family val="2"/>
      <scheme val="minor"/>
    </font>
    <font>
      <b/>
      <sz val="11"/>
      <name val="Calibri"/>
      <family val="2"/>
      <scheme val="minor"/>
    </font>
  </fonts>
  <fills count="3">
    <fill>
      <patternFill patternType="none"/>
    </fill>
    <fill>
      <patternFill patternType="gray125"/>
    </fill>
    <fill>
      <patternFill patternType="solid">
        <fgColor rgb="FFFFFFCC"/>
        <bgColor indexed="64"/>
      </patternFill>
    </fill>
  </fills>
  <borders count="15">
    <border>
      <left/>
      <right/>
      <top/>
      <bottom/>
      <diagonal/>
    </border>
    <border>
      <left/>
      <right style="medium">
        <color auto="1"/>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xf numFmtId="9" fontId="4" fillId="0" borderId="0" applyFont="0" applyFill="0" applyBorder="0" applyAlignment="0" applyProtection="0"/>
  </cellStyleXfs>
  <cellXfs count="59">
    <xf numFmtId="0" fontId="0" fillId="0" borderId="0" xfId="0"/>
    <xf numFmtId="0" fontId="1" fillId="0" borderId="0" xfId="0" applyFont="1" applyAlignment="1">
      <alignment wrapText="1"/>
    </xf>
    <xf numFmtId="8" fontId="0" fillId="0" borderId="0" xfId="0" applyNumberFormat="1"/>
    <xf numFmtId="0" fontId="0" fillId="0" borderId="0" xfId="0" applyFont="1" applyAlignment="1">
      <alignment wrapText="1"/>
    </xf>
    <xf numFmtId="8" fontId="0" fillId="0" borderId="0" xfId="0" applyNumberFormat="1" applyFont="1" applyAlignment="1">
      <alignment wrapText="1"/>
    </xf>
    <xf numFmtId="0" fontId="0" fillId="2" borderId="4" xfId="0" applyFill="1" applyBorder="1" applyAlignment="1" applyProtection="1">
      <alignment horizontal="center"/>
      <protection locked="0"/>
    </xf>
    <xf numFmtId="10" fontId="0" fillId="2" borderId="4" xfId="0" applyNumberFormat="1" applyFill="1" applyBorder="1" applyAlignment="1" applyProtection="1">
      <alignment horizontal="center"/>
      <protection locked="0"/>
    </xf>
    <xf numFmtId="0" fontId="0" fillId="0" borderId="0" xfId="0" applyProtection="1">
      <protection locked="0"/>
    </xf>
    <xf numFmtId="0" fontId="1" fillId="0" borderId="0" xfId="0" applyFont="1" applyProtection="1">
      <protection locked="0"/>
    </xf>
    <xf numFmtId="0" fontId="0" fillId="0" borderId="0" xfId="0" applyProtection="1"/>
    <xf numFmtId="0" fontId="1" fillId="0" borderId="2" xfId="0" applyFont="1" applyBorder="1" applyAlignment="1" applyProtection="1">
      <alignment horizontal="center"/>
    </xf>
    <xf numFmtId="8" fontId="0" fillId="0" borderId="4" xfId="0" applyNumberFormat="1" applyBorder="1" applyProtection="1"/>
    <xf numFmtId="0" fontId="0" fillId="0" borderId="0" xfId="0" applyAlignment="1" applyProtection="1">
      <alignment wrapText="1"/>
    </xf>
    <xf numFmtId="8" fontId="0" fillId="0" borderId="2" xfId="0" applyNumberFormat="1" applyBorder="1" applyProtection="1"/>
    <xf numFmtId="0" fontId="0" fillId="0" borderId="4" xfId="0" applyFont="1" applyBorder="1" applyProtection="1"/>
    <xf numFmtId="10" fontId="0" fillId="0" borderId="4" xfId="0" applyNumberFormat="1" applyFont="1" applyBorder="1" applyAlignment="1" applyProtection="1">
      <alignment horizontal="center"/>
    </xf>
    <xf numFmtId="10" fontId="0" fillId="0" borderId="0" xfId="0" applyNumberFormat="1" applyAlignment="1" applyProtection="1">
      <alignment horizontal="center"/>
    </xf>
    <xf numFmtId="8" fontId="0" fillId="0" borderId="0" xfId="0" applyNumberFormat="1" applyBorder="1" applyProtection="1"/>
    <xf numFmtId="8" fontId="0" fillId="0" borderId="3" xfId="0" applyNumberFormat="1" applyBorder="1" applyProtection="1"/>
    <xf numFmtId="8" fontId="0" fillId="0" borderId="14" xfId="0" applyNumberFormat="1" applyBorder="1" applyProtection="1"/>
    <xf numFmtId="8" fontId="1" fillId="0" borderId="4" xfId="0" applyNumberFormat="1" applyFont="1" applyBorder="1" applyProtection="1"/>
    <xf numFmtId="9" fontId="1" fillId="0" borderId="0" xfId="1" applyFont="1" applyAlignment="1" applyProtection="1">
      <alignment wrapText="1"/>
    </xf>
    <xf numFmtId="9" fontId="0" fillId="0" borderId="0" xfId="1" applyFont="1" applyAlignment="1" applyProtection="1">
      <alignment wrapText="1"/>
    </xf>
    <xf numFmtId="0" fontId="7" fillId="0" borderId="0" xfId="0" applyFont="1" applyAlignment="1" applyProtection="1">
      <alignment wrapText="1"/>
    </xf>
    <xf numFmtId="9" fontId="1" fillId="2" borderId="0" xfId="1" applyFont="1" applyFill="1" applyAlignment="1" applyProtection="1">
      <alignment wrapText="1"/>
    </xf>
    <xf numFmtId="9" fontId="0" fillId="0" borderId="0" xfId="1" applyFont="1" applyFill="1" applyAlignment="1" applyProtection="1">
      <alignment wrapText="1"/>
    </xf>
    <xf numFmtId="0" fontId="1" fillId="0" borderId="0" xfId="0" applyFont="1"/>
    <xf numFmtId="8" fontId="0" fillId="0" borderId="0" xfId="0" applyNumberFormat="1" applyProtection="1">
      <protection locked="0"/>
    </xf>
    <xf numFmtId="0" fontId="1" fillId="0" borderId="3" xfId="0" applyFont="1" applyBorder="1" applyAlignment="1" applyProtection="1"/>
    <xf numFmtId="0" fontId="1" fillId="0" borderId="8" xfId="0" applyFont="1" applyBorder="1" applyAlignment="1" applyProtection="1"/>
    <xf numFmtId="0" fontId="1" fillId="0" borderId="0" xfId="0" applyFont="1" applyAlignment="1" applyProtection="1">
      <alignment wrapText="1"/>
      <protection locked="0"/>
    </xf>
    <xf numFmtId="8" fontId="1" fillId="0" borderId="0" xfId="0" applyNumberFormat="1" applyFont="1" applyAlignment="1" applyProtection="1">
      <alignment wrapText="1"/>
      <protection locked="0"/>
    </xf>
    <xf numFmtId="0" fontId="0" fillId="0" borderId="0" xfId="0" applyFont="1" applyAlignment="1" applyProtection="1">
      <alignment wrapText="1"/>
      <protection locked="0"/>
    </xf>
    <xf numFmtId="8" fontId="0" fillId="0" borderId="0" xfId="0" applyNumberFormat="1" applyFont="1" applyAlignment="1" applyProtection="1">
      <alignment wrapText="1"/>
      <protection locked="0"/>
    </xf>
    <xf numFmtId="0" fontId="0" fillId="0" borderId="3" xfId="0" applyFont="1" applyBorder="1" applyAlignment="1" applyProtection="1"/>
    <xf numFmtId="0" fontId="0" fillId="0" borderId="8" xfId="0" applyFont="1" applyBorder="1" applyAlignment="1" applyProtection="1"/>
    <xf numFmtId="0" fontId="1" fillId="0" borderId="3" xfId="0" applyFont="1" applyBorder="1" applyAlignment="1" applyProtection="1"/>
    <xf numFmtId="0" fontId="0" fillId="0" borderId="8" xfId="0" applyBorder="1" applyAlignment="1" applyProtection="1"/>
    <xf numFmtId="0" fontId="1" fillId="0" borderId="3" xfId="0" applyFont="1"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1" fillId="0" borderId="8" xfId="0" applyFont="1" applyBorder="1" applyAlignment="1" applyProtection="1"/>
    <xf numFmtId="0" fontId="1" fillId="0" borderId="0" xfId="0" applyFont="1" applyBorder="1" applyAlignment="1" applyProtection="1"/>
    <xf numFmtId="0" fontId="0" fillId="0" borderId="9" xfId="0" applyBorder="1" applyAlignment="1" applyProtection="1"/>
    <xf numFmtId="0" fontId="1" fillId="0" borderId="12" xfId="0" applyFont="1" applyBorder="1" applyAlignment="1" applyProtection="1">
      <alignment horizontal="center"/>
    </xf>
    <xf numFmtId="0" fontId="0" fillId="0" borderId="5" xfId="0" applyBorder="1" applyAlignment="1" applyProtection="1"/>
    <xf numFmtId="0" fontId="0" fillId="0" borderId="13" xfId="0" applyBorder="1" applyAlignment="1" applyProtection="1"/>
    <xf numFmtId="0" fontId="0" fillId="0" borderId="1" xfId="0" applyBorder="1" applyAlignment="1" applyProtection="1"/>
    <xf numFmtId="0" fontId="0" fillId="0" borderId="0" xfId="0" applyBorder="1" applyAlignment="1" applyProtection="1"/>
    <xf numFmtId="0" fontId="2" fillId="0" borderId="10" xfId="0" applyFont="1" applyBorder="1" applyAlignment="1" applyProtection="1"/>
    <xf numFmtId="0" fontId="0" fillId="0" borderId="6" xfId="0" applyBorder="1" applyAlignment="1" applyProtection="1"/>
    <xf numFmtId="0" fontId="0" fillId="0" borderId="11" xfId="0" applyBorder="1" applyAlignment="1" applyProtection="1"/>
    <xf numFmtId="0" fontId="0" fillId="0" borderId="5" xfId="0" applyBorder="1" applyAlignment="1" applyProtection="1">
      <alignment horizontal="center"/>
    </xf>
    <xf numFmtId="0" fontId="0" fillId="0" borderId="13" xfId="0" applyBorder="1" applyAlignment="1" applyProtection="1">
      <alignment horizontal="center"/>
    </xf>
    <xf numFmtId="0" fontId="1" fillId="0" borderId="10" xfId="0" applyFont="1" applyBorder="1" applyAlignment="1" applyProtection="1">
      <alignment horizontal="center"/>
    </xf>
    <xf numFmtId="0" fontId="0" fillId="0" borderId="6" xfId="0" applyBorder="1" applyAlignment="1" applyProtection="1">
      <alignment horizontal="center"/>
    </xf>
    <xf numFmtId="0" fontId="9" fillId="0" borderId="12" xfId="0" applyFont="1" applyBorder="1" applyAlignment="1" applyProtection="1">
      <alignment horizontal="center"/>
    </xf>
    <xf numFmtId="0" fontId="8" fillId="0" borderId="5" xfId="0" applyFont="1" applyBorder="1" applyAlignment="1" applyProtection="1">
      <alignment horizontal="center"/>
    </xf>
    <xf numFmtId="0" fontId="8" fillId="0" borderId="13" xfId="0" applyFont="1" applyBorder="1" applyAlignment="1" applyProtection="1">
      <alignment horizontal="center"/>
    </xf>
  </cellXfs>
  <cellStyles count="2">
    <cellStyle name="Normal" xfId="0" builtinId="0"/>
    <cellStyle name="Percent" xfId="1" builtinId="5"/>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38"/>
  <sheetViews>
    <sheetView tabSelected="1" zoomScaleNormal="100" workbookViewId="0">
      <selection sqref="A1:C1"/>
    </sheetView>
  </sheetViews>
  <sheetFormatPr defaultRowHeight="15" x14ac:dyDescent="0.25"/>
  <cols>
    <col min="1" max="1" width="24" style="7" customWidth="1"/>
    <col min="2" max="2" width="24.42578125" style="7" customWidth="1"/>
    <col min="3" max="3" width="8" style="7" customWidth="1"/>
    <col min="4" max="4" width="9.85546875" style="7" customWidth="1"/>
    <col min="5" max="5" width="10.85546875" style="7" bestFit="1" customWidth="1"/>
    <col min="6" max="7" width="9.140625" style="7"/>
    <col min="8" max="8" width="9.85546875" style="7" bestFit="1" customWidth="1"/>
    <col min="9" max="16384" width="9.140625" style="7"/>
  </cols>
  <sheetData>
    <row r="1" spans="1:5" x14ac:dyDescent="0.25">
      <c r="A1" s="54" t="s">
        <v>93</v>
      </c>
      <c r="B1" s="55"/>
      <c r="C1" s="51"/>
      <c r="D1" s="9"/>
    </row>
    <row r="2" spans="1:5" x14ac:dyDescent="0.25">
      <c r="A2" s="56" t="s">
        <v>92</v>
      </c>
      <c r="B2" s="57"/>
      <c r="C2" s="58"/>
      <c r="D2" s="9"/>
    </row>
    <row r="3" spans="1:5" x14ac:dyDescent="0.25">
      <c r="A3" s="10" t="s">
        <v>26</v>
      </c>
      <c r="B3" s="48"/>
      <c r="C3" s="43"/>
      <c r="D3" s="9"/>
    </row>
    <row r="4" spans="1:5" x14ac:dyDescent="0.25">
      <c r="A4" s="5"/>
      <c r="B4" s="36" t="s">
        <v>33</v>
      </c>
      <c r="C4" s="37"/>
      <c r="D4" s="9"/>
    </row>
    <row r="5" spans="1:5" x14ac:dyDescent="0.25">
      <c r="A5" s="5"/>
      <c r="B5" s="36" t="s">
        <v>91</v>
      </c>
      <c r="C5" s="37"/>
      <c r="D5" s="9"/>
    </row>
    <row r="6" spans="1:5" x14ac:dyDescent="0.25">
      <c r="A6" s="6"/>
      <c r="B6" s="36" t="s">
        <v>35</v>
      </c>
      <c r="C6" s="37"/>
      <c r="D6" s="9"/>
    </row>
    <row r="7" spans="1:5" x14ac:dyDescent="0.25">
      <c r="A7" s="6"/>
      <c r="B7" s="36" t="s">
        <v>68</v>
      </c>
      <c r="C7" s="41"/>
      <c r="D7" s="9"/>
    </row>
    <row r="8" spans="1:5" x14ac:dyDescent="0.25">
      <c r="A8" s="5"/>
      <c r="B8" s="36" t="s">
        <v>38</v>
      </c>
      <c r="C8" s="37"/>
      <c r="D8" s="9"/>
    </row>
    <row r="9" spans="1:5" x14ac:dyDescent="0.25">
      <c r="A9" s="49"/>
      <c r="B9" s="50"/>
      <c r="C9" s="51"/>
      <c r="D9" s="9"/>
    </row>
    <row r="10" spans="1:5" x14ac:dyDescent="0.25">
      <c r="A10" s="44" t="s">
        <v>44</v>
      </c>
      <c r="B10" s="52"/>
      <c r="C10" s="53"/>
      <c r="D10" s="9"/>
    </row>
    <row r="11" spans="1:5" x14ac:dyDescent="0.25">
      <c r="A11" s="11" t="e">
        <f>VLOOKUP(A5,'Data Lists2'!A8:F17,6,FALSE)*('GSR Cost Calculator'!A6)</f>
        <v>#N/A</v>
      </c>
      <c r="B11" s="34" t="s">
        <v>23</v>
      </c>
      <c r="C11" s="35"/>
      <c r="D11" s="9"/>
    </row>
    <row r="12" spans="1:5" x14ac:dyDescent="0.25">
      <c r="A12" s="11">
        <f>IF(A6&lt;0.25,0,VLOOKUP(A7,'Data Lists2'!A28:B30,2,FALSE))</f>
        <v>0</v>
      </c>
      <c r="B12" s="34" t="s">
        <v>55</v>
      </c>
      <c r="C12" s="35"/>
      <c r="D12" s="12"/>
    </row>
    <row r="13" spans="1:5" x14ac:dyDescent="0.25">
      <c r="A13" s="11">
        <f>IF(A6&lt;0.25,0,VLOOKUP(A4,'Data Lists2'!A3:C4,3,FALSE))</f>
        <v>0</v>
      </c>
      <c r="B13" s="34" t="s">
        <v>56</v>
      </c>
      <c r="C13" s="35"/>
      <c r="D13" s="9"/>
    </row>
    <row r="14" spans="1:5" x14ac:dyDescent="0.25">
      <c r="A14" s="11" t="e">
        <f>SUM(A11:A13)</f>
        <v>#N/A</v>
      </c>
      <c r="B14" s="34" t="s">
        <v>24</v>
      </c>
      <c r="C14" s="35"/>
      <c r="D14" s="9"/>
    </row>
    <row r="15" spans="1:5" x14ac:dyDescent="0.25">
      <c r="A15" s="13"/>
      <c r="B15" s="47"/>
      <c r="C15" s="43"/>
      <c r="D15" s="9"/>
    </row>
    <row r="16" spans="1:5" x14ac:dyDescent="0.25">
      <c r="A16" s="44" t="s">
        <v>43</v>
      </c>
      <c r="B16" s="45"/>
      <c r="C16" s="46"/>
      <c r="D16" s="9"/>
      <c r="E16" s="8"/>
    </row>
    <row r="17" spans="1:8" x14ac:dyDescent="0.25">
      <c r="A17" s="11">
        <f>IF(A8=1,'Data Lists2'!A21,IF(A8=2,'Data Lists2'!A24,))</f>
        <v>0</v>
      </c>
      <c r="B17" s="14" t="s">
        <v>23</v>
      </c>
      <c r="C17" s="15" t="e">
        <f>A17/A11</f>
        <v>#N/A</v>
      </c>
      <c r="D17" s="16"/>
    </row>
    <row r="18" spans="1:8" x14ac:dyDescent="0.25">
      <c r="A18" s="11" t="e">
        <f>A12*C17</f>
        <v>#N/A</v>
      </c>
      <c r="B18" s="14" t="s">
        <v>55</v>
      </c>
      <c r="C18" s="15" t="str">
        <f>IF(A12=0,"N/A",A18/A12)</f>
        <v>N/A</v>
      </c>
      <c r="D18" s="16"/>
    </row>
    <row r="19" spans="1:8" x14ac:dyDescent="0.25">
      <c r="A19" s="11" t="e">
        <f>SUM(A17:A18)</f>
        <v>#N/A</v>
      </c>
      <c r="B19" s="34" t="s">
        <v>24</v>
      </c>
      <c r="C19" s="35"/>
      <c r="D19" s="9"/>
      <c r="E19" s="27"/>
    </row>
    <row r="20" spans="1:8" x14ac:dyDescent="0.25">
      <c r="A20" s="17"/>
      <c r="B20" s="48"/>
      <c r="C20" s="48"/>
      <c r="D20" s="9"/>
    </row>
    <row r="21" spans="1:8" x14ac:dyDescent="0.25">
      <c r="A21" s="38" t="s">
        <v>42</v>
      </c>
      <c r="B21" s="39"/>
      <c r="C21" s="40"/>
      <c r="D21" s="9"/>
      <c r="F21" s="27"/>
    </row>
    <row r="22" spans="1:8" x14ac:dyDescent="0.25">
      <c r="A22" s="11" t="e">
        <f>A11-A17</f>
        <v>#N/A</v>
      </c>
      <c r="B22" s="34" t="s">
        <v>37</v>
      </c>
      <c r="C22" s="35"/>
      <c r="D22" s="9"/>
      <c r="H22" s="27"/>
    </row>
    <row r="23" spans="1:8" x14ac:dyDescent="0.25">
      <c r="A23" s="11" t="e">
        <f>A12-A18</f>
        <v>#N/A</v>
      </c>
      <c r="B23" s="34" t="s">
        <v>57</v>
      </c>
      <c r="C23" s="35"/>
      <c r="D23" s="9"/>
      <c r="H23" s="27"/>
    </row>
    <row r="24" spans="1:8" x14ac:dyDescent="0.25">
      <c r="A24" s="11">
        <f>A13</f>
        <v>0</v>
      </c>
      <c r="B24" s="34" t="s">
        <v>58</v>
      </c>
      <c r="C24" s="35"/>
      <c r="D24" s="9"/>
    </row>
    <row r="25" spans="1:8" x14ac:dyDescent="0.25">
      <c r="A25" s="11" t="e">
        <f>SUM(A22:A24)</f>
        <v>#N/A</v>
      </c>
      <c r="B25" s="34" t="s">
        <v>29</v>
      </c>
      <c r="C25" s="35"/>
      <c r="D25" s="9"/>
    </row>
    <row r="26" spans="1:8" x14ac:dyDescent="0.25">
      <c r="A26" s="18"/>
      <c r="B26" s="42"/>
      <c r="C26" s="43"/>
      <c r="D26" s="9"/>
    </row>
    <row r="27" spans="1:8" x14ac:dyDescent="0.25">
      <c r="A27" s="5"/>
      <c r="B27" s="36" t="s">
        <v>25</v>
      </c>
      <c r="C27" s="41"/>
      <c r="D27" s="9"/>
    </row>
    <row r="28" spans="1:8" x14ac:dyDescent="0.25">
      <c r="A28" s="5"/>
      <c r="B28" s="28" t="s">
        <v>66</v>
      </c>
      <c r="C28" s="29"/>
      <c r="D28" s="9"/>
    </row>
    <row r="29" spans="1:8" x14ac:dyDescent="0.25">
      <c r="A29" s="11">
        <f>IF(A27="Yes",A23*0.25,0)</f>
        <v>0</v>
      </c>
      <c r="B29" s="34" t="s">
        <v>60</v>
      </c>
      <c r="C29" s="35"/>
      <c r="D29" s="9"/>
    </row>
    <row r="30" spans="1:8" x14ac:dyDescent="0.25">
      <c r="A30" s="11">
        <f>IF(A27="Yes",IF(A28="Yes",A24,A24*0.25),0)</f>
        <v>0</v>
      </c>
      <c r="B30" s="34" t="s">
        <v>59</v>
      </c>
      <c r="C30" s="35"/>
      <c r="D30" s="9"/>
    </row>
    <row r="31" spans="1:8" x14ac:dyDescent="0.25">
      <c r="A31" s="19">
        <f>A30+A29</f>
        <v>0</v>
      </c>
      <c r="B31" s="34" t="s">
        <v>30</v>
      </c>
      <c r="C31" s="35"/>
      <c r="D31" s="9"/>
    </row>
    <row r="32" spans="1:8" x14ac:dyDescent="0.25">
      <c r="A32" s="18"/>
      <c r="B32" s="42"/>
      <c r="C32" s="43"/>
      <c r="D32" s="9"/>
    </row>
    <row r="33" spans="1:5" x14ac:dyDescent="0.25">
      <c r="A33" s="19" t="e">
        <f>A22</f>
        <v>#N/A</v>
      </c>
      <c r="B33" s="34" t="s">
        <v>31</v>
      </c>
      <c r="C33" s="35"/>
      <c r="D33" s="9"/>
    </row>
    <row r="34" spans="1:5" x14ac:dyDescent="0.25">
      <c r="A34" s="19" t="e">
        <f>A23-A29</f>
        <v>#N/A</v>
      </c>
      <c r="B34" s="34" t="s">
        <v>61</v>
      </c>
      <c r="C34" s="35"/>
      <c r="D34" s="9"/>
    </row>
    <row r="35" spans="1:5" x14ac:dyDescent="0.25">
      <c r="A35" s="19">
        <f>A24-A30</f>
        <v>0</v>
      </c>
      <c r="B35" s="34" t="s">
        <v>62</v>
      </c>
      <c r="C35" s="35"/>
      <c r="D35" s="9"/>
    </row>
    <row r="36" spans="1:5" x14ac:dyDescent="0.25">
      <c r="A36" s="20" t="e">
        <f>A25-A31</f>
        <v>#N/A</v>
      </c>
      <c r="B36" s="36" t="s">
        <v>45</v>
      </c>
      <c r="C36" s="37"/>
      <c r="D36" s="9"/>
      <c r="E36" s="27"/>
    </row>
    <row r="37" spans="1:5" x14ac:dyDescent="0.25">
      <c r="A37" s="9"/>
      <c r="B37" s="9"/>
      <c r="C37" s="9"/>
      <c r="D37" s="9"/>
    </row>
    <row r="38" spans="1:5" x14ac:dyDescent="0.25">
      <c r="A38" s="9"/>
      <c r="B38" s="9"/>
      <c r="C38" s="9"/>
      <c r="D38" s="9"/>
    </row>
  </sheetData>
  <sheetProtection sheet="1" objects="1" scenarios="1"/>
  <mergeCells count="33">
    <mergeCell ref="A9:C9"/>
    <mergeCell ref="A10:C10"/>
    <mergeCell ref="A1:C1"/>
    <mergeCell ref="B3:C3"/>
    <mergeCell ref="B4:C4"/>
    <mergeCell ref="B5:C5"/>
    <mergeCell ref="B6:C6"/>
    <mergeCell ref="B8:C8"/>
    <mergeCell ref="B7:C7"/>
    <mergeCell ref="A2:C2"/>
    <mergeCell ref="B35:C35"/>
    <mergeCell ref="B13:C13"/>
    <mergeCell ref="B14:C14"/>
    <mergeCell ref="A16:C16"/>
    <mergeCell ref="B15:C15"/>
    <mergeCell ref="B19:C19"/>
    <mergeCell ref="B20:C20"/>
    <mergeCell ref="B11:C11"/>
    <mergeCell ref="B12:C12"/>
    <mergeCell ref="B36:C36"/>
    <mergeCell ref="A21:C21"/>
    <mergeCell ref="B27:C27"/>
    <mergeCell ref="B29:C29"/>
    <mergeCell ref="B30:C30"/>
    <mergeCell ref="B31:C31"/>
    <mergeCell ref="B32:C32"/>
    <mergeCell ref="B22:C22"/>
    <mergeCell ref="B23:C23"/>
    <mergeCell ref="B24:C24"/>
    <mergeCell ref="B25:C25"/>
    <mergeCell ref="B26:C26"/>
    <mergeCell ref="B33:C33"/>
    <mergeCell ref="B34:C34"/>
  </mergeCells>
  <dataValidations count="5">
    <dataValidation type="list" allowBlank="1" showInputMessage="1" showErrorMessage="1" promptTitle="Buy-down Cost Savings" prompt="Is the GSR salary fund source eligible for the GSR Buy-Down Program?  More information may be found here:_x000a_https://afs.ucdavis.edu/finance/contracts-grants-accounting/policies/gsr-buy-down" sqref="A27">
      <formula1>yes_no</formula1>
    </dataValidation>
    <dataValidation type="list" allowBlank="1" showInputMessage="1" showErrorMessage="1" promptTitle="Work Study Units" prompt="Will the student participate in the Work Study Program?  If so, will one or two units be assigned during the quarter?" sqref="A8">
      <formula1>Units</formula1>
    </dataValidation>
    <dataValidation type="decimal" allowBlank="1" showInputMessage="1" showErrorMessage="1" promptTitle="FTE Percentage" prompt="Please enter the percentage as a decimal value from 0.00 to 1.00, for example 0.25 or 0.50." sqref="A6">
      <formula1>0</formula1>
      <formula2>1</formula2>
    </dataValidation>
    <dataValidation type="list" allowBlank="1" showInputMessage="1" showErrorMessage="1" promptTitle="CA Residency of the Student" prompt="Is the student a resident of the state of California?  This determines the student's fee and tuition levels." sqref="A4">
      <formula1>Res_Status</formula1>
    </dataValidation>
    <dataValidation type="list" allowBlank="1" showInputMessage="1" showErrorMessage="1" promptTitle="2nd or 3rd Year Int'l Student" prompt="Is the GSR an International student (Nonresident Alien on F-1 or J-1 Visa), in their 2nd or 3rd year of attendence, and have not advanced to candidacy?  If so, 100% of the NRST Remission is refunded to the salary fund source via the buy-down program." sqref="A28">
      <formula1>yes_no</formula1>
    </dataValidation>
  </dataValidations>
  <printOptions horizontalCentered="1"/>
  <pageMargins left="0.7" right="0.7" top="1.5" bottom="0.75" header="0.3" footer="0.3"/>
  <pageSetup orientation="portrait" r:id="rId1"/>
  <headerFooter>
    <oddHeader>&amp;L&amp;G</oddHeader>
    <oddFooter>&amp;LRev 01/24/2023&amp;R2022-23 Spring v1</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Title="GSR Salary Step" prompt="There are ten salary levels.  More info here:_x000a_https://grad.ucdavis.edu/understanding-your-student-salary">
          <x14:formula1>
            <xm:f>'Data Lists2'!$A$8:$A$13</xm:f>
          </x14:formula1>
          <xm:sqref>A5</xm:sqref>
        </x14:dataValidation>
        <x14:dataValidation type="list" allowBlank="1" showInputMessage="1" showErrorMessage="1" errorTitle="Invalid entry" error="Please use drop-down list" promptTitle="Quarter" prompt="2022-23 Tuition &amp; Fees is $6,459.39 in fall, winter, and spring.">
          <x14:formula1>
            <xm:f>'Data Lists2'!$A$30</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7"/>
  <sheetViews>
    <sheetView workbookViewId="0">
      <selection activeCell="C12" sqref="C12"/>
    </sheetView>
  </sheetViews>
  <sheetFormatPr defaultRowHeight="15" x14ac:dyDescent="0.25"/>
  <cols>
    <col min="1" max="1" width="16" bestFit="1" customWidth="1"/>
    <col min="2" max="2" width="13.28515625" customWidth="1"/>
    <col min="3" max="3" width="10.85546875" bestFit="1" customWidth="1"/>
    <col min="4" max="5" width="9.85546875" bestFit="1" customWidth="1"/>
    <col min="6" max="6" width="10.85546875" bestFit="1" customWidth="1"/>
  </cols>
  <sheetData>
    <row r="1" spans="1:6" s="1" customFormat="1" ht="60" x14ac:dyDescent="0.25">
      <c r="A1" s="1" t="s">
        <v>0</v>
      </c>
      <c r="B1" s="1" t="s">
        <v>36</v>
      </c>
      <c r="C1" s="1" t="s">
        <v>28</v>
      </c>
      <c r="D1" s="1" t="s">
        <v>14</v>
      </c>
      <c r="E1" s="1" t="s">
        <v>17</v>
      </c>
      <c r="F1" s="1" t="s">
        <v>18</v>
      </c>
    </row>
    <row r="2" spans="1:6" s="1" customFormat="1" x14ac:dyDescent="0.25">
      <c r="E2" s="3">
        <v>0</v>
      </c>
      <c r="F2" s="4">
        <v>0</v>
      </c>
    </row>
    <row r="3" spans="1:6" x14ac:dyDescent="0.25">
      <c r="A3" t="s">
        <v>1</v>
      </c>
      <c r="B3" s="2">
        <v>4419.12</v>
      </c>
      <c r="C3" s="2">
        <v>0</v>
      </c>
      <c r="D3" t="s">
        <v>15</v>
      </c>
      <c r="E3">
        <v>1</v>
      </c>
      <c r="F3" s="2">
        <f>D8*0.75</f>
        <v>1519.875</v>
      </c>
    </row>
    <row r="4" spans="1:6" x14ac:dyDescent="0.25">
      <c r="A4" t="s">
        <v>2</v>
      </c>
      <c r="B4" s="2">
        <v>4555.12</v>
      </c>
      <c r="C4" s="2">
        <v>14694</v>
      </c>
      <c r="D4" t="s">
        <v>16</v>
      </c>
      <c r="E4">
        <v>2</v>
      </c>
      <c r="F4" s="2">
        <f>F3*2</f>
        <v>3039.75</v>
      </c>
    </row>
    <row r="7" spans="1:6" ht="45" x14ac:dyDescent="0.25">
      <c r="A7" s="1" t="s">
        <v>27</v>
      </c>
      <c r="B7" s="1" t="s">
        <v>13</v>
      </c>
      <c r="C7" s="1" t="s">
        <v>19</v>
      </c>
      <c r="D7" s="1" t="s">
        <v>20</v>
      </c>
      <c r="E7" s="1" t="s">
        <v>21</v>
      </c>
      <c r="F7" s="1" t="s">
        <v>22</v>
      </c>
    </row>
    <row r="8" spans="1:6" x14ac:dyDescent="0.25">
      <c r="A8" t="s">
        <v>3</v>
      </c>
      <c r="B8" s="2">
        <v>2702</v>
      </c>
      <c r="C8" s="2">
        <f>B8*0.25</f>
        <v>675.5</v>
      </c>
      <c r="D8" s="2">
        <f>C8*3</f>
        <v>2026.5</v>
      </c>
      <c r="E8" s="2">
        <f>D8*2</f>
        <v>4053</v>
      </c>
      <c r="F8" s="2">
        <f>B8*3</f>
        <v>8106</v>
      </c>
    </row>
    <row r="9" spans="1:6" x14ac:dyDescent="0.25">
      <c r="A9" t="s">
        <v>4</v>
      </c>
      <c r="B9" s="2">
        <v>2912</v>
      </c>
      <c r="C9" s="2">
        <f t="shared" ref="C9:C17" si="0">B9*0.25</f>
        <v>728</v>
      </c>
      <c r="D9" s="2">
        <f t="shared" ref="D9:D17" si="1">C9*3</f>
        <v>2184</v>
      </c>
      <c r="E9" s="2">
        <f t="shared" ref="E9:E17" si="2">D9*2</f>
        <v>4368</v>
      </c>
      <c r="F9" s="2">
        <f t="shared" ref="F9:F17" si="3">B9*3</f>
        <v>8736</v>
      </c>
    </row>
    <row r="10" spans="1:6" x14ac:dyDescent="0.25">
      <c r="A10" t="s">
        <v>5</v>
      </c>
      <c r="B10" s="2">
        <v>3229</v>
      </c>
      <c r="C10" s="2">
        <f t="shared" si="0"/>
        <v>807.25</v>
      </c>
      <c r="D10" s="2">
        <f t="shared" si="1"/>
        <v>2421.75</v>
      </c>
      <c r="E10" s="2">
        <f t="shared" si="2"/>
        <v>4843.5</v>
      </c>
      <c r="F10" s="2">
        <f t="shared" si="3"/>
        <v>9687</v>
      </c>
    </row>
    <row r="11" spans="1:6" x14ac:dyDescent="0.25">
      <c r="A11" t="s">
        <v>10</v>
      </c>
      <c r="B11" s="2">
        <v>3488</v>
      </c>
      <c r="C11" s="2">
        <f t="shared" si="0"/>
        <v>872</v>
      </c>
      <c r="D11" s="2">
        <f t="shared" si="1"/>
        <v>2616</v>
      </c>
      <c r="E11" s="2">
        <f t="shared" si="2"/>
        <v>5232</v>
      </c>
      <c r="F11" s="2">
        <f t="shared" si="3"/>
        <v>10464</v>
      </c>
    </row>
    <row r="12" spans="1:6" x14ac:dyDescent="0.25">
      <c r="A12" t="s">
        <v>7</v>
      </c>
      <c r="B12" s="2">
        <v>3720</v>
      </c>
      <c r="C12" s="2">
        <f t="shared" si="0"/>
        <v>930</v>
      </c>
      <c r="D12" s="2">
        <f t="shared" si="1"/>
        <v>2790</v>
      </c>
      <c r="E12" s="2">
        <f t="shared" si="2"/>
        <v>5580</v>
      </c>
      <c r="F12" s="2">
        <f t="shared" si="3"/>
        <v>11160</v>
      </c>
    </row>
    <row r="13" spans="1:6" x14ac:dyDescent="0.25">
      <c r="A13" t="s">
        <v>6</v>
      </c>
      <c r="B13" s="2">
        <v>3893</v>
      </c>
      <c r="C13" s="2">
        <f t="shared" si="0"/>
        <v>973.25</v>
      </c>
      <c r="D13" s="2">
        <f t="shared" si="1"/>
        <v>2919.75</v>
      </c>
      <c r="E13" s="2">
        <f t="shared" si="2"/>
        <v>5839.5</v>
      </c>
      <c r="F13" s="2">
        <f t="shared" si="3"/>
        <v>11679</v>
      </c>
    </row>
    <row r="14" spans="1:6" x14ac:dyDescent="0.25">
      <c r="A14" t="s">
        <v>8</v>
      </c>
      <c r="B14" s="2">
        <v>4205</v>
      </c>
      <c r="C14" s="2">
        <f t="shared" si="0"/>
        <v>1051.25</v>
      </c>
      <c r="D14" s="2">
        <f t="shared" si="1"/>
        <v>3153.75</v>
      </c>
      <c r="E14" s="2">
        <f t="shared" si="2"/>
        <v>6307.5</v>
      </c>
      <c r="F14" s="2">
        <f t="shared" si="3"/>
        <v>12615</v>
      </c>
    </row>
    <row r="15" spans="1:6" x14ac:dyDescent="0.25">
      <c r="A15" t="s">
        <v>9</v>
      </c>
      <c r="B15" s="2">
        <v>4540</v>
      </c>
      <c r="C15" s="2">
        <f t="shared" si="0"/>
        <v>1135</v>
      </c>
      <c r="D15" s="2">
        <f t="shared" si="1"/>
        <v>3405</v>
      </c>
      <c r="E15" s="2">
        <f t="shared" si="2"/>
        <v>6810</v>
      </c>
      <c r="F15" s="2">
        <f t="shared" si="3"/>
        <v>13620</v>
      </c>
    </row>
    <row r="16" spans="1:6" x14ac:dyDescent="0.25">
      <c r="A16" t="s">
        <v>11</v>
      </c>
      <c r="B16" s="2">
        <v>4905</v>
      </c>
      <c r="C16" s="2">
        <f t="shared" si="0"/>
        <v>1226.25</v>
      </c>
      <c r="D16" s="2">
        <f t="shared" si="1"/>
        <v>3678.75</v>
      </c>
      <c r="E16" s="2">
        <f t="shared" si="2"/>
        <v>7357.5</v>
      </c>
      <c r="F16" s="2">
        <f t="shared" si="3"/>
        <v>14715</v>
      </c>
    </row>
    <row r="17" spans="1:6" x14ac:dyDescent="0.25">
      <c r="A17" t="s">
        <v>12</v>
      </c>
      <c r="B17" s="2">
        <v>5296</v>
      </c>
      <c r="C17" s="2">
        <f t="shared" si="0"/>
        <v>1324</v>
      </c>
      <c r="D17" s="2">
        <f t="shared" si="1"/>
        <v>3972</v>
      </c>
      <c r="E17" s="2">
        <f t="shared" si="2"/>
        <v>7944</v>
      </c>
      <c r="F17" s="2">
        <f t="shared" si="3"/>
        <v>15888</v>
      </c>
    </row>
  </sheetData>
  <sheetProtection password="F6FF" sheet="1" objects="1" scenario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0"/>
  <sheetViews>
    <sheetView workbookViewId="0"/>
  </sheetViews>
  <sheetFormatPr defaultRowHeight="15" x14ac:dyDescent="0.25"/>
  <cols>
    <col min="1" max="1" width="16" style="7" bestFit="1" customWidth="1"/>
    <col min="2" max="2" width="9.85546875" style="27" bestFit="1" customWidth="1"/>
    <col min="3" max="3" width="10.85546875" style="7" bestFit="1" customWidth="1"/>
    <col min="4" max="4" width="9.85546875" style="7" bestFit="1" customWidth="1"/>
    <col min="5" max="6" width="10.85546875" style="7" bestFit="1" customWidth="1"/>
    <col min="7" max="7" width="9.140625" style="7"/>
    <col min="8" max="8" width="10.85546875" style="27" bestFit="1" customWidth="1"/>
    <col min="9" max="10" width="9.85546875" style="7" bestFit="1" customWidth="1"/>
    <col min="11" max="11" width="9.140625" style="7"/>
    <col min="12" max="14" width="10.85546875" style="7" bestFit="1" customWidth="1"/>
    <col min="15" max="15" width="9.140625" style="7"/>
    <col min="16" max="16" width="10.85546875" style="7" bestFit="1" customWidth="1"/>
    <col min="17" max="17" width="9.140625" style="7"/>
    <col min="18" max="18" width="9.85546875" style="7" bestFit="1" customWidth="1"/>
    <col min="19" max="19" width="9.140625" style="7"/>
    <col min="20" max="20" width="10.85546875" style="7" bestFit="1" customWidth="1"/>
    <col min="21" max="16384" width="9.140625" style="7"/>
  </cols>
  <sheetData>
    <row r="1" spans="1:14" ht="60" x14ac:dyDescent="0.25">
      <c r="A1" s="30" t="s">
        <v>0</v>
      </c>
      <c r="B1" s="31" t="s">
        <v>88</v>
      </c>
      <c r="C1" s="30" t="s">
        <v>89</v>
      </c>
      <c r="D1" s="30" t="s">
        <v>14</v>
      </c>
      <c r="E1" s="30" t="s">
        <v>17</v>
      </c>
      <c r="F1" s="30" t="s">
        <v>18</v>
      </c>
    </row>
    <row r="2" spans="1:14" x14ac:dyDescent="0.25">
      <c r="A2" s="30"/>
      <c r="B2" s="31"/>
      <c r="C2" s="30"/>
      <c r="D2" s="30"/>
      <c r="E2" s="32">
        <v>0</v>
      </c>
      <c r="F2" s="33">
        <v>0</v>
      </c>
      <c r="L2" s="7">
        <f>L4-L3</f>
        <v>4536.0200000000004</v>
      </c>
      <c r="M2" s="7">
        <f>M4-M3</f>
        <v>4536</v>
      </c>
    </row>
    <row r="3" spans="1:14" x14ac:dyDescent="0.25">
      <c r="A3" s="7" t="s">
        <v>1</v>
      </c>
      <c r="B3" s="27">
        <v>6459.39</v>
      </c>
      <c r="C3" s="27">
        <v>0</v>
      </c>
      <c r="D3" s="7" t="s">
        <v>15</v>
      </c>
      <c r="E3" s="7">
        <v>1</v>
      </c>
      <c r="F3" s="27">
        <f>G3*0.75</f>
        <v>2587.5</v>
      </c>
      <c r="G3" s="7">
        <v>3450</v>
      </c>
      <c r="L3" s="7">
        <v>1740</v>
      </c>
      <c r="M3" s="7">
        <v>1740</v>
      </c>
    </row>
    <row r="4" spans="1:14" x14ac:dyDescent="0.25">
      <c r="A4" s="7" t="s">
        <v>2</v>
      </c>
      <c r="B4" s="27">
        <v>6459.39</v>
      </c>
      <c r="C4" s="27">
        <v>5034</v>
      </c>
      <c r="D4" s="7" t="s">
        <v>16</v>
      </c>
      <c r="E4" s="7">
        <v>2</v>
      </c>
      <c r="F4" s="27">
        <f>G4*0.75</f>
        <v>5175</v>
      </c>
      <c r="G4" s="7">
        <f>G3*2</f>
        <v>6900</v>
      </c>
      <c r="H4" s="27">
        <f>SUM(B28:B30)</f>
        <v>19378.170000000002</v>
      </c>
      <c r="L4" s="7">
        <v>6276.02</v>
      </c>
      <c r="M4" s="7">
        <v>6276</v>
      </c>
    </row>
    <row r="7" spans="1:14" ht="45" x14ac:dyDescent="0.25">
      <c r="A7" s="30" t="s">
        <v>90</v>
      </c>
      <c r="B7" s="31" t="s">
        <v>13</v>
      </c>
      <c r="C7" s="30" t="s">
        <v>19</v>
      </c>
      <c r="D7" s="30" t="s">
        <v>20</v>
      </c>
      <c r="E7" s="30" t="s">
        <v>21</v>
      </c>
      <c r="F7" s="30" t="s">
        <v>22</v>
      </c>
    </row>
    <row r="8" spans="1:14" x14ac:dyDescent="0.25">
      <c r="A8" s="7" t="s">
        <v>83</v>
      </c>
      <c r="B8" s="27">
        <f>61080/12</f>
        <v>5090</v>
      </c>
      <c r="C8" s="27">
        <f>B8*0.25</f>
        <v>1272.5</v>
      </c>
      <c r="D8" s="27">
        <f>C8*3</f>
        <v>3817.5</v>
      </c>
      <c r="E8" s="27">
        <f>D8*2</f>
        <v>7635</v>
      </c>
      <c r="F8" s="27">
        <f>B8*3</f>
        <v>15270</v>
      </c>
      <c r="I8" s="27"/>
      <c r="L8" s="27"/>
      <c r="M8" s="27"/>
    </row>
    <row r="9" spans="1:14" x14ac:dyDescent="0.25">
      <c r="A9" s="7" t="s">
        <v>82</v>
      </c>
      <c r="B9" s="27">
        <f>65814/12</f>
        <v>5484.5</v>
      </c>
      <c r="C9" s="27">
        <f t="shared" ref="C9:C17" si="0">B9*0.25</f>
        <v>1371.125</v>
      </c>
      <c r="D9" s="27">
        <f t="shared" ref="D9:D17" si="1">C9*3</f>
        <v>4113.375</v>
      </c>
      <c r="E9" s="27">
        <f t="shared" ref="E9:E17" si="2">D9*2</f>
        <v>8226.75</v>
      </c>
      <c r="F9" s="27">
        <f t="shared" ref="F9:F17" si="3">B9*3</f>
        <v>16453.5</v>
      </c>
      <c r="I9" s="27"/>
      <c r="L9" s="27"/>
      <c r="M9" s="27"/>
    </row>
    <row r="10" spans="1:14" x14ac:dyDescent="0.25">
      <c r="A10" s="7" t="s">
        <v>84</v>
      </c>
      <c r="B10" s="27">
        <f>70915/12</f>
        <v>5909.583333333333</v>
      </c>
      <c r="C10" s="27">
        <f t="shared" si="0"/>
        <v>1477.3958333333333</v>
      </c>
      <c r="D10" s="27">
        <f t="shared" si="1"/>
        <v>4432.1875</v>
      </c>
      <c r="E10" s="27">
        <f t="shared" si="2"/>
        <v>8864.375</v>
      </c>
      <c r="F10" s="27">
        <f t="shared" si="3"/>
        <v>17728.75</v>
      </c>
      <c r="H10" s="27">
        <f>E10*3</f>
        <v>26593.125</v>
      </c>
      <c r="J10" s="27"/>
      <c r="L10" s="27"/>
      <c r="M10" s="27"/>
      <c r="N10" s="27"/>
    </row>
    <row r="11" spans="1:14" x14ac:dyDescent="0.25">
      <c r="A11" s="7" t="s">
        <v>85</v>
      </c>
      <c r="B11" s="27">
        <v>6367.58</v>
      </c>
      <c r="C11" s="27">
        <f t="shared" si="0"/>
        <v>1591.895</v>
      </c>
      <c r="D11" s="27">
        <f t="shared" si="1"/>
        <v>4775.6849999999995</v>
      </c>
      <c r="E11" s="27">
        <f t="shared" si="2"/>
        <v>9551.369999999999</v>
      </c>
      <c r="F11" s="27">
        <f t="shared" si="3"/>
        <v>19102.739999999998</v>
      </c>
      <c r="H11" s="7"/>
      <c r="L11" s="27"/>
      <c r="M11" s="27"/>
    </row>
    <row r="12" spans="1:14" x14ac:dyDescent="0.25">
      <c r="A12" s="7" t="s">
        <v>86</v>
      </c>
      <c r="B12" s="27">
        <v>6861.08</v>
      </c>
      <c r="C12" s="27">
        <f t="shared" si="0"/>
        <v>1715.27</v>
      </c>
      <c r="D12" s="27">
        <f t="shared" si="1"/>
        <v>5145.8099999999995</v>
      </c>
      <c r="E12" s="27">
        <f t="shared" si="2"/>
        <v>10291.619999999999</v>
      </c>
      <c r="F12" s="27">
        <f t="shared" si="3"/>
        <v>20583.239999999998</v>
      </c>
      <c r="H12" s="27">
        <f>H10+H4</f>
        <v>45971.294999999998</v>
      </c>
      <c r="L12" s="27"/>
      <c r="M12" s="27"/>
    </row>
    <row r="13" spans="1:14" x14ac:dyDescent="0.25">
      <c r="A13" s="7" t="s">
        <v>87</v>
      </c>
      <c r="B13" s="27">
        <v>7392.83</v>
      </c>
      <c r="C13" s="27">
        <f t="shared" si="0"/>
        <v>1848.2075</v>
      </c>
      <c r="D13" s="27">
        <f t="shared" si="1"/>
        <v>5544.6224999999995</v>
      </c>
      <c r="E13" s="27">
        <f t="shared" si="2"/>
        <v>11089.244999999999</v>
      </c>
      <c r="F13" s="27">
        <f t="shared" si="3"/>
        <v>22178.489999999998</v>
      </c>
      <c r="H13" s="7"/>
      <c r="L13" s="27"/>
      <c r="M13" s="27"/>
    </row>
    <row r="14" spans="1:14" x14ac:dyDescent="0.25">
      <c r="A14" s="7" t="s">
        <v>8</v>
      </c>
      <c r="B14" s="27">
        <v>0</v>
      </c>
      <c r="C14" s="27">
        <f t="shared" si="0"/>
        <v>0</v>
      </c>
      <c r="D14" s="27">
        <f t="shared" si="1"/>
        <v>0</v>
      </c>
      <c r="E14" s="27">
        <f t="shared" si="2"/>
        <v>0</v>
      </c>
      <c r="F14" s="27">
        <f t="shared" si="3"/>
        <v>0</v>
      </c>
      <c r="H14" s="27">
        <f>H12*0.75</f>
        <v>34478.471250000002</v>
      </c>
      <c r="L14" s="27"/>
      <c r="M14" s="27"/>
    </row>
    <row r="15" spans="1:14" x14ac:dyDescent="0.25">
      <c r="A15" s="7" t="s">
        <v>9</v>
      </c>
      <c r="B15" s="27">
        <v>0</v>
      </c>
      <c r="C15" s="27">
        <f t="shared" si="0"/>
        <v>0</v>
      </c>
      <c r="D15" s="27">
        <f t="shared" si="1"/>
        <v>0</v>
      </c>
      <c r="E15" s="27">
        <f t="shared" si="2"/>
        <v>0</v>
      </c>
      <c r="F15" s="27">
        <f t="shared" si="3"/>
        <v>0</v>
      </c>
      <c r="I15" s="27"/>
      <c r="L15" s="27"/>
      <c r="M15" s="27"/>
    </row>
    <row r="16" spans="1:14" x14ac:dyDescent="0.25">
      <c r="A16" s="7" t="s">
        <v>11</v>
      </c>
      <c r="B16" s="27">
        <v>0</v>
      </c>
      <c r="C16" s="27">
        <f t="shared" si="0"/>
        <v>0</v>
      </c>
      <c r="D16" s="27">
        <f t="shared" si="1"/>
        <v>0</v>
      </c>
      <c r="E16" s="27">
        <f t="shared" si="2"/>
        <v>0</v>
      </c>
      <c r="F16" s="27">
        <f t="shared" si="3"/>
        <v>0</v>
      </c>
      <c r="I16" s="27"/>
      <c r="L16" s="27"/>
      <c r="M16" s="27"/>
    </row>
    <row r="17" spans="1:14" x14ac:dyDescent="0.25">
      <c r="A17" s="7" t="s">
        <v>12</v>
      </c>
      <c r="B17" s="27">
        <v>0</v>
      </c>
      <c r="C17" s="27">
        <f t="shared" si="0"/>
        <v>0</v>
      </c>
      <c r="D17" s="27">
        <f t="shared" si="1"/>
        <v>0</v>
      </c>
      <c r="E17" s="27">
        <f t="shared" si="2"/>
        <v>0</v>
      </c>
      <c r="F17" s="27">
        <f t="shared" si="3"/>
        <v>0</v>
      </c>
      <c r="I17" s="27"/>
      <c r="L17" s="27"/>
      <c r="M17" s="27"/>
    </row>
    <row r="20" spans="1:14" ht="30" x14ac:dyDescent="0.25">
      <c r="A20" s="30" t="s">
        <v>54</v>
      </c>
      <c r="B20" s="31"/>
      <c r="C20" s="30"/>
      <c r="D20" s="30"/>
      <c r="E20" s="30"/>
      <c r="F20" s="30"/>
    </row>
    <row r="21" spans="1:14" x14ac:dyDescent="0.25">
      <c r="A21" s="7">
        <f>IF('GSR Cost Calculator'!A6&lt;0.25,0,IF('GSR Cost Calculator'!A11&gt;2500,F3,0.75*'GSR Cost Calculator'!A11))</f>
        <v>0</v>
      </c>
      <c r="C21" s="27"/>
      <c r="D21" s="27"/>
      <c r="E21" s="27"/>
      <c r="F21" s="27"/>
      <c r="J21" s="27"/>
      <c r="M21" s="27"/>
      <c r="N21" s="27"/>
    </row>
    <row r="23" spans="1:14" ht="30" x14ac:dyDescent="0.25">
      <c r="A23" s="30" t="s">
        <v>53</v>
      </c>
      <c r="M23" s="27"/>
      <c r="N23" s="27"/>
    </row>
    <row r="24" spans="1:14" x14ac:dyDescent="0.25">
      <c r="A24" s="7">
        <f>IF('GSR Cost Calculator'!A6&lt;0.25,0,IF('GSR Cost Calculator'!A11&gt;5000,F4,0.75*'GSR Cost Calculator'!A11))</f>
        <v>0</v>
      </c>
    </row>
    <row r="26" spans="1:14" x14ac:dyDescent="0.25">
      <c r="A26" s="8" t="s">
        <v>68</v>
      </c>
    </row>
    <row r="27" spans="1:14" x14ac:dyDescent="0.25">
      <c r="A27" s="8"/>
    </row>
    <row r="28" spans="1:14" x14ac:dyDescent="0.25">
      <c r="A28" s="7" t="s">
        <v>75</v>
      </c>
      <c r="B28" s="27">
        <v>6459.39</v>
      </c>
    </row>
    <row r="29" spans="1:14" x14ac:dyDescent="0.25">
      <c r="A29" s="7" t="s">
        <v>76</v>
      </c>
      <c r="B29" s="27">
        <v>6459.39</v>
      </c>
    </row>
    <row r="30" spans="1:14" x14ac:dyDescent="0.25">
      <c r="A30" s="7" t="s">
        <v>77</v>
      </c>
      <c r="B30" s="27">
        <v>6459.39</v>
      </c>
    </row>
  </sheetData>
  <sheetProtection sheet="1" objects="1" scenario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48"/>
  <sheetViews>
    <sheetView workbookViewId="0"/>
  </sheetViews>
  <sheetFormatPr defaultColWidth="56.7109375" defaultRowHeight="15" x14ac:dyDescent="0.25"/>
  <cols>
    <col min="1" max="1" width="99.85546875" style="22" customWidth="1"/>
    <col min="2" max="16384" width="56.7109375" style="22"/>
  </cols>
  <sheetData>
    <row r="1" spans="1:1" x14ac:dyDescent="0.25">
      <c r="A1" s="21" t="s">
        <v>78</v>
      </c>
    </row>
    <row r="2" spans="1:1" x14ac:dyDescent="0.25">
      <c r="A2" s="21"/>
    </row>
    <row r="3" spans="1:1" x14ac:dyDescent="0.25">
      <c r="A3" s="26" t="s">
        <v>48</v>
      </c>
    </row>
    <row r="4" spans="1:1" x14ac:dyDescent="0.25">
      <c r="A4" s="21"/>
    </row>
    <row r="5" spans="1:1" ht="45" x14ac:dyDescent="0.25">
      <c r="A5" s="1" t="s">
        <v>49</v>
      </c>
    </row>
    <row r="6" spans="1:1" x14ac:dyDescent="0.25">
      <c r="A6" s="21"/>
    </row>
    <row r="7" spans="1:1" ht="45" x14ac:dyDescent="0.25">
      <c r="A7" s="21" t="s">
        <v>50</v>
      </c>
    </row>
    <row r="9" spans="1:1" ht="45" x14ac:dyDescent="0.25">
      <c r="A9" s="21" t="s">
        <v>63</v>
      </c>
    </row>
    <row r="11" spans="1:1" ht="30" x14ac:dyDescent="0.25">
      <c r="A11" s="21" t="s">
        <v>94</v>
      </c>
    </row>
    <row r="13" spans="1:1" ht="60" x14ac:dyDescent="0.25">
      <c r="A13" s="21" t="s">
        <v>67</v>
      </c>
    </row>
    <row r="16" spans="1:1" x14ac:dyDescent="0.25">
      <c r="A16" s="21"/>
    </row>
    <row r="17" spans="1:1" ht="26.25" x14ac:dyDescent="0.25">
      <c r="A17" s="23" t="s">
        <v>71</v>
      </c>
    </row>
    <row r="18" spans="1:1" x14ac:dyDescent="0.25">
      <c r="A18" s="21"/>
    </row>
    <row r="20" spans="1:1" ht="30" x14ac:dyDescent="0.25">
      <c r="A20" s="24" t="s">
        <v>46</v>
      </c>
    </row>
    <row r="22" spans="1:1" x14ac:dyDescent="0.25">
      <c r="A22" s="24" t="s">
        <v>33</v>
      </c>
    </row>
    <row r="23" spans="1:1" ht="30" x14ac:dyDescent="0.25">
      <c r="A23" s="22" t="s">
        <v>79</v>
      </c>
    </row>
    <row r="24" spans="1:1" ht="30" x14ac:dyDescent="0.25">
      <c r="A24" s="22" t="s">
        <v>70</v>
      </c>
    </row>
    <row r="25" spans="1:1" ht="30" x14ac:dyDescent="0.25">
      <c r="A25" s="22" t="s">
        <v>80</v>
      </c>
    </row>
    <row r="27" spans="1:1" x14ac:dyDescent="0.25">
      <c r="A27" s="24" t="s">
        <v>32</v>
      </c>
    </row>
    <row r="28" spans="1:1" ht="30" x14ac:dyDescent="0.25">
      <c r="A28" s="22" t="s">
        <v>64</v>
      </c>
    </row>
    <row r="30" spans="1:1" x14ac:dyDescent="0.25">
      <c r="A30" s="24" t="s">
        <v>34</v>
      </c>
    </row>
    <row r="31" spans="1:1" x14ac:dyDescent="0.25">
      <c r="A31" s="22" t="s">
        <v>95</v>
      </c>
    </row>
    <row r="33" spans="1:1" x14ac:dyDescent="0.25">
      <c r="A33" s="24" t="s">
        <v>39</v>
      </c>
    </row>
    <row r="34" spans="1:1" x14ac:dyDescent="0.25">
      <c r="A34" s="25" t="s">
        <v>47</v>
      </c>
    </row>
    <row r="35" spans="1:1" x14ac:dyDescent="0.25">
      <c r="A35" s="22" t="s">
        <v>52</v>
      </c>
    </row>
    <row r="37" spans="1:1" x14ac:dyDescent="0.25">
      <c r="A37" s="24" t="s">
        <v>38</v>
      </c>
    </row>
    <row r="38" spans="1:1" ht="30" x14ac:dyDescent="0.25">
      <c r="A38" s="22" t="s">
        <v>40</v>
      </c>
    </row>
    <row r="39" spans="1:1" ht="30" x14ac:dyDescent="0.25">
      <c r="A39" s="22" t="s">
        <v>73</v>
      </c>
    </row>
    <row r="40" spans="1:1" x14ac:dyDescent="0.25">
      <c r="A40" s="22" t="s">
        <v>51</v>
      </c>
    </row>
    <row r="41" spans="1:1" ht="30" x14ac:dyDescent="0.25">
      <c r="A41" s="22" t="s">
        <v>81</v>
      </c>
    </row>
    <row r="43" spans="1:1" x14ac:dyDescent="0.25">
      <c r="A43" s="24" t="s">
        <v>41</v>
      </c>
    </row>
    <row r="44" spans="1:1" ht="30" x14ac:dyDescent="0.25">
      <c r="A44" s="22" t="s">
        <v>74</v>
      </c>
    </row>
    <row r="45" spans="1:1" ht="45" x14ac:dyDescent="0.25">
      <c r="A45" s="22" t="s">
        <v>65</v>
      </c>
    </row>
    <row r="47" spans="1:1" x14ac:dyDescent="0.25">
      <c r="A47" s="24" t="s">
        <v>69</v>
      </c>
    </row>
    <row r="48" spans="1:1" ht="30" x14ac:dyDescent="0.25">
      <c r="A48" s="22" t="s">
        <v>72</v>
      </c>
    </row>
  </sheetData>
  <sheetProtection sheet="1" objects="1" scenarios="1"/>
  <printOptions horizontalCentered="1" gridLines="1"/>
  <pageMargins left="0.7" right="0.7" top="0.75" bottom="0.75" header="0.3" footer="0.3"/>
  <pageSetup scale="83"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A5" sqref="A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GSR Cost Calculator</vt:lpstr>
      <vt:lpstr>Data Lists</vt:lpstr>
      <vt:lpstr>Data Lists2</vt:lpstr>
      <vt:lpstr>Instructions &amp; Notes</vt:lpstr>
      <vt:lpstr>Sheet1</vt:lpstr>
      <vt:lpstr>buy_down</vt:lpstr>
      <vt:lpstr>GSR_Step</vt:lpstr>
      <vt:lpstr>'Instructions &amp; Notes'!Print_Titles</vt:lpstr>
      <vt:lpstr>'Data Lists'!Res_Status</vt:lpstr>
      <vt:lpstr>Res_Status</vt:lpstr>
      <vt:lpstr>Units</vt:lpstr>
      <vt:lpstr>WS_units</vt:lpstr>
      <vt:lpstr>yes_no</vt:lpstr>
    </vt:vector>
  </TitlesOfParts>
  <Company>CAES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Albrecht</dc:creator>
  <cp:lastModifiedBy>Steven Albrecht</cp:lastModifiedBy>
  <cp:lastPrinted>2023-01-24T23:47:26Z</cp:lastPrinted>
  <dcterms:created xsi:type="dcterms:W3CDTF">2010-05-24T16:25:04Z</dcterms:created>
  <dcterms:modified xsi:type="dcterms:W3CDTF">2023-01-24T23:47:43Z</dcterms:modified>
</cp:coreProperties>
</file>